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psdsor" ContentType="application/vnd.openxmlformats-package.digital-signature-origin"/>
  <Default Extension="psdsxs" ContentType="application/vnd.openxmlformats-package.digital-signature-xmlsignatur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docProps/app.xml" Id="rId3" /><Relationship Type="http://schemas.openxmlformats.org/package/2006/relationships/metadata/core-properties" Target="docProps/core.xml" Id="rId2" /><Relationship Type="http://schemas.openxmlformats.org/officeDocument/2006/relationships/officeDocument" Target="xl/workbook.xml" Id="rId1" /><Relationship Type="http://schemas.openxmlformats.org/package/2006/relationships/digital-signature/origin" Target="/package/services/digital-signature/origin.psdsor" Id="Rf099e7f25d1f4f10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ata anh Loc\o dia C\All Data Loc\Desktop\CHUKYSO\"/>
    </mc:Choice>
  </mc:AlternateContent>
  <bookViews>
    <workbookView xWindow="75" yWindow="0" windowWidth="11595" windowHeight="10065"/>
  </bookViews>
  <sheets>
    <sheet name="2.04" sheetId="6" r:id="rId1"/>
  </sheets>
  <calcPr calcId="152511"/>
</workbook>
</file>

<file path=xl/calcChain.xml><?xml version="1.0" encoding="utf-8"?>
<calcChain xmlns="http://schemas.openxmlformats.org/spreadsheetml/2006/main">
  <c r="H13" i="6" l="1"/>
  <c r="M13" i="6" s="1"/>
  <c r="R13" i="6" s="1"/>
  <c r="W13" i="6" s="1"/>
  <c r="D9" i="6"/>
  <c r="D10" i="6"/>
  <c r="O14" i="6"/>
  <c r="J17" i="6"/>
  <c r="K17" i="6"/>
  <c r="M17" i="6"/>
  <c r="O17" i="6"/>
  <c r="S17" i="6"/>
  <c r="T17" i="6"/>
  <c r="J15" i="6"/>
  <c r="J14" i="6" s="1"/>
  <c r="N15" i="6"/>
  <c r="O15" i="6"/>
  <c r="S15" i="6"/>
  <c r="S14" i="6"/>
  <c r="T15" i="6"/>
  <c r="T14" i="6" s="1"/>
  <c r="T9" i="6" s="1"/>
  <c r="I10" i="6"/>
  <c r="I9" i="6" s="1"/>
  <c r="N10" i="6"/>
  <c r="S10" i="6"/>
  <c r="S9" i="6" s="1"/>
  <c r="V18" i="6"/>
  <c r="V17" i="6" s="1"/>
  <c r="V14" i="6" s="1"/>
  <c r="U18" i="6"/>
  <c r="U17" i="6" s="1"/>
  <c r="Q18" i="6"/>
  <c r="Q17" i="6"/>
  <c r="P18" i="6"/>
  <c r="P17" i="6"/>
  <c r="K18" i="6"/>
  <c r="L18" i="6"/>
  <c r="L17" i="6" s="1"/>
  <c r="V16" i="6"/>
  <c r="V15" i="6"/>
  <c r="U16" i="6"/>
  <c r="U15" i="6" s="1"/>
  <c r="U14" i="6" s="1"/>
  <c r="P16" i="6"/>
  <c r="P15" i="6"/>
  <c r="M16" i="6"/>
  <c r="R16" i="6" s="1"/>
  <c r="K16" i="6"/>
  <c r="K15" i="6"/>
  <c r="K14" i="6" s="1"/>
  <c r="Q13" i="6"/>
  <c r="U13" i="6"/>
  <c r="U10" i="6" s="1"/>
  <c r="P13" i="6"/>
  <c r="K13" i="6"/>
  <c r="L13" i="6"/>
  <c r="G13" i="6"/>
  <c r="G10" i="6" s="1"/>
  <c r="U12" i="6"/>
  <c r="P12" i="6"/>
  <c r="T12" i="6"/>
  <c r="T10" i="6"/>
  <c r="O12" i="6"/>
  <c r="Q12" i="6" s="1"/>
  <c r="J12" i="6"/>
  <c r="J10" i="6" s="1"/>
  <c r="J9" i="6" s="1"/>
  <c r="K12" i="6"/>
  <c r="K10" i="6" s="1"/>
  <c r="K9" i="6" s="1"/>
  <c r="G12" i="6"/>
  <c r="F12" i="6"/>
  <c r="F10" i="6" s="1"/>
  <c r="F9" i="6" s="1"/>
  <c r="U11" i="6"/>
  <c r="P11" i="6"/>
  <c r="Q11" i="6" s="1"/>
  <c r="Q10" i="6" s="1"/>
  <c r="Q9" i="6" s="1"/>
  <c r="K11" i="6"/>
  <c r="G11" i="6"/>
  <c r="F11" i="6"/>
  <c r="E10" i="6"/>
  <c r="I17" i="6"/>
  <c r="H17" i="6"/>
  <c r="G17" i="6"/>
  <c r="G14" i="6" s="1"/>
  <c r="F17" i="6"/>
  <c r="E17" i="6"/>
  <c r="F15" i="6"/>
  <c r="F14" i="6"/>
  <c r="G15" i="6"/>
  <c r="H15" i="6"/>
  <c r="H14" i="6"/>
  <c r="I15" i="6"/>
  <c r="I14" i="6"/>
  <c r="E15" i="6"/>
  <c r="E14" i="6"/>
  <c r="E9" i="6" s="1"/>
  <c r="N18" i="6"/>
  <c r="R18" i="6"/>
  <c r="N14" i="6"/>
  <c r="N9" i="6" s="1"/>
  <c r="W18" i="6"/>
  <c r="W17" i="6" s="1"/>
  <c r="R17" i="6"/>
  <c r="P14" i="6"/>
  <c r="L16" i="6"/>
  <c r="L15" i="6"/>
  <c r="H11" i="6"/>
  <c r="V11" i="6"/>
  <c r="V12" i="6"/>
  <c r="Q16" i="6"/>
  <c r="Q15" i="6"/>
  <c r="Q14" i="6" s="1"/>
  <c r="L11" i="6"/>
  <c r="N17" i="6"/>
  <c r="M11" i="6"/>
  <c r="L14" i="6" l="1"/>
  <c r="M10" i="6"/>
  <c r="M9" i="6" s="1"/>
  <c r="G9" i="6"/>
  <c r="U9" i="6"/>
  <c r="R15" i="6"/>
  <c r="R14" i="6" s="1"/>
  <c r="W16" i="6"/>
  <c r="W15" i="6" s="1"/>
  <c r="W14" i="6" s="1"/>
  <c r="R11" i="6"/>
  <c r="P10" i="6"/>
  <c r="P9" i="6" s="1"/>
  <c r="H12" i="6"/>
  <c r="M12" i="6" s="1"/>
  <c r="R12" i="6" s="1"/>
  <c r="W12" i="6" s="1"/>
  <c r="L12" i="6"/>
  <c r="L10" i="6" s="1"/>
  <c r="L9" i="6" s="1"/>
  <c r="O10" i="6"/>
  <c r="O9" i="6" s="1"/>
  <c r="M15" i="6"/>
  <c r="M14" i="6" s="1"/>
  <c r="V13" i="6"/>
  <c r="V10" i="6" s="1"/>
  <c r="V9" i="6" s="1"/>
  <c r="R10" i="6" l="1"/>
  <c r="R9" i="6" s="1"/>
  <c r="W11" i="6"/>
  <c r="W10" i="6" s="1"/>
  <c r="W9" i="6" s="1"/>
  <c r="H10" i="6"/>
  <c r="H9" i="6" s="1"/>
</calcChain>
</file>

<file path=xl/sharedStrings.xml><?xml version="1.0" encoding="utf-8"?>
<sst xmlns="http://schemas.openxmlformats.org/spreadsheetml/2006/main" count="59" uniqueCount="43">
  <si>
    <t>A</t>
  </si>
  <si>
    <t>STT</t>
  </si>
  <si>
    <t>Tên dự án</t>
  </si>
  <si>
    <t>I</t>
  </si>
  <si>
    <t>II</t>
  </si>
  <si>
    <t>WB</t>
  </si>
  <si>
    <t>Tăng cường quản lý đất đai và cơ sở dữ liệu đất đai</t>
  </si>
  <si>
    <t>Tổng số</t>
  </si>
  <si>
    <t>Nhà tài trợ</t>
  </si>
  <si>
    <t>Trả nợ</t>
  </si>
  <si>
    <t>Tổng cộng</t>
  </si>
  <si>
    <t>Tổng rút vốn trong năm</t>
  </si>
  <si>
    <t>Trả gốc trong năm</t>
  </si>
  <si>
    <t>Trả nợ lãi (phí) trong năm</t>
  </si>
  <si>
    <t>Dư nợ cuối năm</t>
  </si>
  <si>
    <t>Dự kiến năm 2023</t>
  </si>
  <si>
    <t>Trả nợ gốc trong năm</t>
  </si>
  <si>
    <t>Mẫu biểu lập kế hoạch 2.04</t>
  </si>
  <si>
    <t>9=7+8</t>
  </si>
  <si>
    <t>14=12+13</t>
  </si>
  <si>
    <t>19=17+18</t>
  </si>
  <si>
    <t>Đơn vị tính: Triệu đồng</t>
  </si>
  <si>
    <t>Dự kiến năm 2024</t>
  </si>
  <si>
    <t>Dự án phát triển đô thị và tăng cường khả năng thích ứng biến đổi khí hậuTP. Vĩnh Long</t>
  </si>
  <si>
    <t>BÁO CÁO TÌNH HÌNH VAY, TRẢ NỢ CỦA CÁC DỰ ÁN VAY LẠI NGUỒN VỐN VAY NƯỚC NGOÀI CỦA CHÍNH PHỦ NĂM HIỆN HÀNH, DỰ KIẾN NĂM KẾ HOẠCH VÀ 2 NĂM TIẾP THEO</t>
  </si>
  <si>
    <t>Ước thực hiện cả năm 2022</t>
  </si>
  <si>
    <t>Dự kiến năm 2025</t>
  </si>
  <si>
    <t>Dư nợ cuối kỳ năm 2021</t>
  </si>
  <si>
    <t>Các dự án đang thực hiện</t>
  </si>
  <si>
    <t>Các dự án dự kiến sẽ triển khai</t>
  </si>
  <si>
    <t>Các dự án đã ký hiệp định trong năm 2022</t>
  </si>
  <si>
    <t>Dự án Hoàn thiện Đê bao sông Măng Thít (giai đoạn 2) - Kè sông Hậu đoạn qua thị xã Bình Minh tỉnh Vĩnh Long trong điều kiện thích ứng với biến đổi khí hậu</t>
  </si>
  <si>
    <t>AFD</t>
  </si>
  <si>
    <t>Các dự án dự kiến phát sinh, sẽ vay lại từ nguồn vốn vay nước ngoài của Chính phủ trong giai đoạn báo cáo</t>
  </si>
  <si>
    <t>WB; Chính phủ Hà Lan</t>
  </si>
  <si>
    <t>a</t>
  </si>
  <si>
    <t>b</t>
  </si>
  <si>
    <t>Dự án Đầu tư trang thiết bị Bệnh viện đa khoa tỉnh Vĩnh Long</t>
  </si>
  <si>
    <t>Chính phủ Áo</t>
  </si>
  <si>
    <t>Dự án Mở rộng nâng cấp đô thị Việt Nam - Tiểu dự án thành phố Vĩnh Long</t>
  </si>
  <si>
    <t xml:space="preserve">                          01 EUR = 24.353 VNĐ</t>
  </si>
  <si>
    <r>
      <rPr>
        <i/>
        <u/>
        <sz val="13"/>
        <rFont val="Times New Roman"/>
        <family val="1"/>
      </rPr>
      <t>Ghi chú</t>
    </r>
    <r>
      <rPr>
        <sz val="13"/>
        <rFont val="Times New Roman"/>
        <family val="1"/>
      </rPr>
      <t>: Tỷ giá  01 USD = 23.510 VNĐ</t>
    </r>
  </si>
  <si>
    <t>(Kèm theo Công văn số:   4302/UBND-KTNV ngày  01/8/2022 của UBND tỉnh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</si>
</sst>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9" formatCode="_-* #,##0\ _₫_-;\-* #,##0\ _₫_-;_-* &quot;-&quot;\ _₫_-;_-@_-"/>
    <numFmt numFmtId="172" formatCode="_(* #,##0_);_(* \(#,##0\);_(* &quot;-&quot;??_);_(@_)"/>
    <numFmt numFmtId="173" formatCode="_(* #,##0.0_);_(* \(#,##0.0\);_(* &quot;-&quot;??_);_(@_)"/>
    <numFmt numFmtId="181" formatCode="_(* #.##0.00_);_(* \(#.##0.00\);_(* &quot;-&quot;??_);_(@_)"/>
  </numFmts>
  <fonts count="23" x14ac:knownFonts="1">
    <font>
      <sz val="12"/>
      <color theme="1"/>
      <name val="Times New Roman"/>
      <family val="2"/>
    </font>
    <font>
      <sz val="10"/>
      <name val="Arial"/>
      <family val="2"/>
      <charset val="163"/>
    </font>
    <font>
      <sz val="13"/>
      <name val="Times New Roman"/>
      <family val="1"/>
    </font>
    <font>
      <b/>
      <sz val="13"/>
      <name val="Times New Roman"/>
      <family val="1"/>
    </font>
    <font>
      <b/>
      <sz val="16"/>
      <name val="Times New Roman"/>
      <family val="1"/>
    </font>
    <font>
      <i/>
      <sz val="14"/>
      <name val="Times New Roman"/>
      <family val="1"/>
    </font>
    <font>
      <b/>
      <sz val="14"/>
      <name val="Times New Roman"/>
      <family val="1"/>
    </font>
    <font>
      <i/>
      <sz val="11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u/>
      <sz val="12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0"/>
      <name val="Times New Roman"/>
      <family val="1"/>
    </font>
    <font>
      <i/>
      <u/>
      <sz val="13"/>
      <name val="Times New Roman"/>
      <family val="1"/>
    </font>
    <font>
      <sz val="9"/>
      <name val="Times New Roman"/>
      <family val="1"/>
    </font>
    <font>
      <sz val="12"/>
      <color theme="1"/>
      <name val="Times New Roman"/>
      <family val="2"/>
    </font>
    <font>
      <sz val="13"/>
      <color rgb="FF0070C0"/>
      <name val="Times New Roman"/>
      <family val="1"/>
    </font>
    <font>
      <sz val="12"/>
      <color rgb="FF0070C0"/>
      <name val="Times New Roman"/>
      <family val="1"/>
    </font>
    <font>
      <b/>
      <u/>
      <sz val="12"/>
      <color rgb="FF0070C0"/>
      <name val="Times New Roman"/>
      <family val="1"/>
    </font>
    <font>
      <b/>
      <sz val="12"/>
      <color rgb="FF0070C0"/>
      <name val="Times New Roman"/>
      <family val="1"/>
    </font>
    <font>
      <b/>
      <i/>
      <sz val="12"/>
      <color rgb="FF0070C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7" fillId="0" borderId="0" applyFont="0" applyFill="0" applyBorder="0" applyAlignment="0" applyProtection="0"/>
    <xf numFmtId="181" fontId="1" fillId="0" borderId="0" applyFont="0" applyFill="0" applyBorder="0" applyAlignment="0" applyProtection="0"/>
  </cellStyleXfs>
  <cellXfs count="68">
    <xf numFmtId="0" fontId="0" fillId="0" borderId="0" xfId="0"/>
    <xf numFmtId="0" fontId="2" fillId="0" borderId="0" xfId="0" applyFont="1" applyFill="1" applyAlignment="1">
      <alignment vertical="center"/>
    </xf>
    <xf numFmtId="0" fontId="4" fillId="0" borderId="0" xfId="0" applyFont="1" applyFill="1"/>
    <xf numFmtId="0" fontId="6" fillId="0" borderId="0" xfId="0" applyFont="1" applyFill="1"/>
    <xf numFmtId="0" fontId="8" fillId="0" borderId="0" xfId="0" applyFont="1" applyFill="1"/>
    <xf numFmtId="0" fontId="3" fillId="0" borderId="0" xfId="0" applyFont="1" applyFill="1"/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0" xfId="0" applyFont="1" applyFill="1"/>
    <xf numFmtId="0" fontId="11" fillId="0" borderId="1" xfId="0" applyFont="1" applyFill="1" applyBorder="1" applyAlignment="1">
      <alignment horizontal="center" vertical="center" wrapText="1"/>
    </xf>
    <xf numFmtId="3" fontId="11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3" fontId="9" fillId="0" borderId="1" xfId="1" applyNumberFormat="1" applyFont="1" applyFill="1" applyBorder="1" applyAlignment="1">
      <alignment vertical="center"/>
    </xf>
    <xf numFmtId="173" fontId="12" fillId="0" borderId="1" xfId="1" applyNumberFormat="1" applyFont="1" applyFill="1" applyBorder="1" applyAlignment="1">
      <alignment vertical="center"/>
    </xf>
    <xf numFmtId="172" fontId="9" fillId="0" borderId="1" xfId="1" applyNumberFormat="1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173" fontId="10" fillId="2" borderId="1" xfId="1" applyNumberFormat="1" applyFont="1" applyFill="1" applyBorder="1" applyAlignment="1">
      <alignment horizontal="justify" vertical="center" wrapText="1"/>
    </xf>
    <xf numFmtId="173" fontId="10" fillId="2" borderId="1" xfId="1" applyNumberFormat="1" applyFont="1" applyFill="1" applyBorder="1" applyAlignment="1">
      <alignment horizontal="center" vertical="center" wrapText="1"/>
    </xf>
    <xf numFmtId="3" fontId="2" fillId="2" borderId="1" xfId="1" applyNumberFormat="1" applyFont="1" applyFill="1" applyBorder="1" applyAlignment="1">
      <alignment vertical="center"/>
    </xf>
    <xf numFmtId="3" fontId="10" fillId="2" borderId="1" xfId="1" applyNumberFormat="1" applyFont="1" applyFill="1" applyBorder="1" applyAlignment="1">
      <alignment vertical="center"/>
    </xf>
    <xf numFmtId="3" fontId="10" fillId="2" borderId="1" xfId="0" applyNumberFormat="1" applyFont="1" applyFill="1" applyBorder="1" applyAlignment="1">
      <alignment vertical="center"/>
    </xf>
    <xf numFmtId="172" fontId="10" fillId="2" borderId="1" xfId="1" applyNumberFormat="1" applyFont="1" applyFill="1" applyBorder="1" applyAlignment="1">
      <alignment vertical="center"/>
    </xf>
    <xf numFmtId="173" fontId="12" fillId="2" borderId="1" xfId="1" applyNumberFormat="1" applyFont="1" applyFill="1" applyBorder="1" applyAlignment="1">
      <alignment vertical="center"/>
    </xf>
    <xf numFmtId="0" fontId="10" fillId="2" borderId="0" xfId="0" applyFont="1" applyFill="1"/>
    <xf numFmtId="173" fontId="2" fillId="2" borderId="1" xfId="1" applyNumberFormat="1" applyFont="1" applyFill="1" applyBorder="1" applyAlignment="1">
      <alignment horizontal="justify" vertical="center" wrapText="1"/>
    </xf>
    <xf numFmtId="173" fontId="2" fillId="2" borderId="1" xfId="1" applyNumberFormat="1" applyFont="1" applyFill="1" applyBorder="1" applyAlignment="1">
      <alignment horizontal="center" vertical="center" wrapText="1"/>
    </xf>
    <xf numFmtId="173" fontId="9" fillId="0" borderId="1" xfId="1" applyNumberFormat="1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172" fontId="12" fillId="0" borderId="1" xfId="1" applyNumberFormat="1" applyFont="1" applyFill="1" applyBorder="1" applyAlignment="1">
      <alignment vertical="center"/>
    </xf>
    <xf numFmtId="0" fontId="13" fillId="0" borderId="0" xfId="0" applyFont="1" applyFill="1"/>
    <xf numFmtId="0" fontId="10" fillId="2" borderId="1" xfId="0" applyFont="1" applyFill="1" applyBorder="1" applyAlignment="1">
      <alignment horizontal="justify" vertical="center" wrapText="1"/>
    </xf>
    <xf numFmtId="173" fontId="10" fillId="2" borderId="1" xfId="1" applyNumberFormat="1" applyFont="1" applyFill="1" applyBorder="1" applyAlignment="1">
      <alignment vertical="center"/>
    </xf>
    <xf numFmtId="172" fontId="10" fillId="2" borderId="1" xfId="0" applyNumberFormat="1" applyFont="1" applyFill="1" applyBorder="1" applyAlignment="1">
      <alignment vertical="center"/>
    </xf>
    <xf numFmtId="173" fontId="10" fillId="2" borderId="1" xfId="0" applyNumberFormat="1" applyFont="1" applyFill="1" applyBorder="1" applyAlignment="1">
      <alignment vertical="center"/>
    </xf>
    <xf numFmtId="0" fontId="9" fillId="2" borderId="0" xfId="0" applyFont="1" applyFill="1"/>
    <xf numFmtId="0" fontId="10" fillId="0" borderId="1" xfId="0" applyFont="1" applyFill="1" applyBorder="1" applyAlignment="1">
      <alignment horizontal="justify" vertical="center" wrapText="1"/>
    </xf>
    <xf numFmtId="173" fontId="10" fillId="0" borderId="1" xfId="1" applyNumberFormat="1" applyFont="1" applyFill="1" applyBorder="1" applyAlignment="1">
      <alignment vertical="center"/>
    </xf>
    <xf numFmtId="173" fontId="10" fillId="0" borderId="1" xfId="0" applyNumberFormat="1" applyFont="1" applyFill="1" applyBorder="1" applyAlignment="1">
      <alignment vertical="center"/>
    </xf>
    <xf numFmtId="172" fontId="10" fillId="0" borderId="1" xfId="0" applyNumberFormat="1" applyFont="1" applyFill="1" applyBorder="1" applyAlignment="1">
      <alignment vertical="center"/>
    </xf>
    <xf numFmtId="0" fontId="2" fillId="0" borderId="0" xfId="0" applyFont="1" applyFill="1"/>
    <xf numFmtId="0" fontId="14" fillId="0" borderId="0" xfId="0" applyFont="1" applyFill="1"/>
    <xf numFmtId="172" fontId="16" fillId="0" borderId="0" xfId="0" applyNumberFormat="1" applyFont="1" applyFill="1"/>
    <xf numFmtId="0" fontId="18" fillId="0" borderId="0" xfId="0" applyFont="1" applyFill="1" applyAlignment="1">
      <alignment vertical="center"/>
    </xf>
    <xf numFmtId="0" fontId="19" fillId="0" borderId="1" xfId="0" applyFont="1" applyFill="1" applyBorder="1" applyAlignment="1">
      <alignment horizontal="center" vertical="center" wrapText="1"/>
    </xf>
    <xf numFmtId="3" fontId="20" fillId="0" borderId="1" xfId="0" applyNumberFormat="1" applyFont="1" applyFill="1" applyBorder="1" applyAlignment="1">
      <alignment vertical="center"/>
    </xf>
    <xf numFmtId="3" fontId="21" fillId="0" borderId="1" xfId="1" applyNumberFormat="1" applyFont="1" applyFill="1" applyBorder="1" applyAlignment="1">
      <alignment vertical="center"/>
    </xf>
    <xf numFmtId="3" fontId="19" fillId="2" borderId="1" xfId="1" applyNumberFormat="1" applyFont="1" applyFill="1" applyBorder="1" applyAlignment="1">
      <alignment vertical="center"/>
    </xf>
    <xf numFmtId="173" fontId="21" fillId="0" borderId="1" xfId="1" applyNumberFormat="1" applyFont="1" applyFill="1" applyBorder="1" applyAlignment="1">
      <alignment vertical="center"/>
    </xf>
    <xf numFmtId="173" fontId="22" fillId="0" borderId="1" xfId="1" applyNumberFormat="1" applyFont="1" applyFill="1" applyBorder="1" applyAlignment="1">
      <alignment vertical="center"/>
    </xf>
    <xf numFmtId="173" fontId="19" fillId="2" borderId="1" xfId="1" applyNumberFormat="1" applyFont="1" applyFill="1" applyBorder="1" applyAlignment="1">
      <alignment vertical="center"/>
    </xf>
    <xf numFmtId="173" fontId="19" fillId="0" borderId="1" xfId="1" applyNumberFormat="1" applyFont="1" applyFill="1" applyBorder="1" applyAlignment="1">
      <alignment vertical="center"/>
    </xf>
    <xf numFmtId="0" fontId="18" fillId="0" borderId="0" xfId="0" applyFont="1" applyFill="1"/>
    <xf numFmtId="172" fontId="19" fillId="2" borderId="1" xfId="1" applyNumberFormat="1" applyFont="1" applyFill="1" applyBorder="1" applyAlignment="1">
      <alignment vertical="center"/>
    </xf>
    <xf numFmtId="172" fontId="21" fillId="0" borderId="1" xfId="1" applyNumberFormat="1" applyFont="1" applyFill="1" applyBorder="1" applyAlignment="1">
      <alignment vertical="center"/>
    </xf>
    <xf numFmtId="172" fontId="22" fillId="0" borderId="1" xfId="1" applyNumberFormat="1" applyFont="1" applyFill="1" applyBorder="1" applyAlignment="1">
      <alignment vertical="center"/>
    </xf>
    <xf numFmtId="172" fontId="19" fillId="0" borderId="1" xfId="0" applyNumberFormat="1" applyFont="1" applyFill="1" applyBorder="1" applyAlignment="1">
      <alignment vertical="center"/>
    </xf>
    <xf numFmtId="172" fontId="19" fillId="2" borderId="1" xfId="0" applyNumberFormat="1" applyFont="1" applyFill="1" applyBorder="1" applyAlignment="1">
      <alignment vertical="center"/>
    </xf>
    <xf numFmtId="169" fontId="19" fillId="2" borderId="1" xfId="1" applyNumberFormat="1" applyFont="1" applyFill="1" applyBorder="1" applyAlignment="1">
      <alignment vertical="center"/>
    </xf>
    <xf numFmtId="169" fontId="19" fillId="2" borderId="1" xfId="0" applyNumberFormat="1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right"/>
    </xf>
    <xf numFmtId="0" fontId="4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</cellXfs>
  <cellStyles count="3">
    <cellStyle name="Comma" xfId="1" builtinId="3"/>
    <cellStyle name="Comma 7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W21"/>
  <sheetViews>
    <sheetView tabSelected="1" zoomScale="84" zoomScaleNormal="84" workbookViewId="0">
      <selection activeCell="A3" sqref="A3:W3"/>
    </sheetView>
  </sheetViews>
  <sheetFormatPr defaultRowHeight="16.5" x14ac:dyDescent="0.25"/>
  <cols>
    <col min="1" max="1" width="6.125" style="42" customWidth="1"/>
    <col min="2" max="2" width="44.5" style="42" customWidth="1"/>
    <col min="3" max="3" width="10.625" style="42" customWidth="1"/>
    <col min="4" max="4" width="11.125" style="42" customWidth="1"/>
    <col min="5" max="5" width="12.875" style="42" customWidth="1"/>
    <col min="6" max="6" width="11.5" style="42" customWidth="1"/>
    <col min="7" max="7" width="12" style="42" customWidth="1"/>
    <col min="8" max="8" width="11.625" style="54" customWidth="1"/>
    <col min="9" max="9" width="12.625" style="42" customWidth="1"/>
    <col min="10" max="10" width="11.75" style="42" customWidth="1"/>
    <col min="11" max="12" width="12.75" style="42" customWidth="1"/>
    <col min="13" max="13" width="10.625" style="54" customWidth="1"/>
    <col min="14" max="14" width="12.375" style="42" customWidth="1"/>
    <col min="15" max="15" width="12.25" style="42" customWidth="1"/>
    <col min="16" max="16" width="12.75" style="42" customWidth="1"/>
    <col min="17" max="17" width="12" style="42" customWidth="1"/>
    <col min="18" max="18" width="13" style="54" customWidth="1"/>
    <col min="19" max="19" width="12.75" style="42" customWidth="1"/>
    <col min="20" max="20" width="10.625" style="42" customWidth="1"/>
    <col min="21" max="22" width="11.125" style="42" customWidth="1"/>
    <col min="23" max="23" width="12.25" style="54" customWidth="1"/>
    <col min="24" max="16384" width="9" style="42"/>
  </cols>
  <sheetData>
    <row r="1" spans="1:23" s="1" customFormat="1" ht="28.5" customHeight="1" x14ac:dyDescent="0.25">
      <c r="A1" s="1" t="s">
        <v>17</v>
      </c>
      <c r="H1" s="45"/>
      <c r="M1" s="45"/>
      <c r="R1" s="45"/>
      <c r="W1" s="45"/>
    </row>
    <row r="2" spans="1:23" s="2" customFormat="1" ht="36.75" customHeight="1" x14ac:dyDescent="0.3">
      <c r="A2" s="65" t="s">
        <v>24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</row>
    <row r="3" spans="1:23" s="3" customFormat="1" ht="30" customHeight="1" x14ac:dyDescent="0.3">
      <c r="A3" s="62" t="s">
        <v>42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</row>
    <row r="4" spans="1:23" s="4" customFormat="1" ht="35.25" customHeight="1" x14ac:dyDescent="0.3">
      <c r="A4" s="64" t="s">
        <v>21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</row>
    <row r="5" spans="1:23" s="5" customFormat="1" ht="31.5" customHeight="1" x14ac:dyDescent="0.25">
      <c r="A5" s="63" t="s">
        <v>1</v>
      </c>
      <c r="B5" s="63" t="s">
        <v>2</v>
      </c>
      <c r="C5" s="63" t="s">
        <v>8</v>
      </c>
      <c r="D5" s="63" t="s">
        <v>27</v>
      </c>
      <c r="E5" s="63" t="s">
        <v>25</v>
      </c>
      <c r="F5" s="63"/>
      <c r="G5" s="63"/>
      <c r="H5" s="63"/>
      <c r="I5" s="63" t="s">
        <v>15</v>
      </c>
      <c r="J5" s="63"/>
      <c r="K5" s="63"/>
      <c r="L5" s="63"/>
      <c r="M5" s="63"/>
      <c r="N5" s="63" t="s">
        <v>22</v>
      </c>
      <c r="O5" s="63"/>
      <c r="P5" s="63"/>
      <c r="Q5" s="63"/>
      <c r="R5" s="63"/>
      <c r="S5" s="63" t="s">
        <v>26</v>
      </c>
      <c r="T5" s="63"/>
      <c r="U5" s="63"/>
      <c r="V5" s="63"/>
      <c r="W5" s="63"/>
    </row>
    <row r="6" spans="1:23" s="7" customFormat="1" ht="30.75" customHeight="1" x14ac:dyDescent="0.25">
      <c r="A6" s="63"/>
      <c r="B6" s="63"/>
      <c r="C6" s="63"/>
      <c r="D6" s="63"/>
      <c r="E6" s="66" t="s">
        <v>11</v>
      </c>
      <c r="F6" s="66" t="s">
        <v>12</v>
      </c>
      <c r="G6" s="66" t="s">
        <v>13</v>
      </c>
      <c r="H6" s="67" t="s">
        <v>14</v>
      </c>
      <c r="I6" s="66" t="s">
        <v>11</v>
      </c>
      <c r="J6" s="66" t="s">
        <v>9</v>
      </c>
      <c r="K6" s="66"/>
      <c r="L6" s="66"/>
      <c r="M6" s="67" t="s">
        <v>14</v>
      </c>
      <c r="N6" s="66" t="s">
        <v>11</v>
      </c>
      <c r="O6" s="66" t="s">
        <v>9</v>
      </c>
      <c r="P6" s="66"/>
      <c r="Q6" s="66"/>
      <c r="R6" s="67" t="s">
        <v>14</v>
      </c>
      <c r="S6" s="66" t="s">
        <v>11</v>
      </c>
      <c r="T6" s="66" t="s">
        <v>9</v>
      </c>
      <c r="U6" s="66"/>
      <c r="V6" s="66"/>
      <c r="W6" s="67" t="s">
        <v>14</v>
      </c>
    </row>
    <row r="7" spans="1:23" s="7" customFormat="1" ht="70.5" customHeight="1" x14ac:dyDescent="0.25">
      <c r="A7" s="63"/>
      <c r="B7" s="63"/>
      <c r="C7" s="63"/>
      <c r="D7" s="63"/>
      <c r="E7" s="66"/>
      <c r="F7" s="66"/>
      <c r="G7" s="66"/>
      <c r="H7" s="67"/>
      <c r="I7" s="66"/>
      <c r="J7" s="6" t="s">
        <v>16</v>
      </c>
      <c r="K7" s="6" t="s">
        <v>13</v>
      </c>
      <c r="L7" s="6" t="s">
        <v>10</v>
      </c>
      <c r="M7" s="67"/>
      <c r="N7" s="66"/>
      <c r="O7" s="6" t="s">
        <v>16</v>
      </c>
      <c r="P7" s="6" t="s">
        <v>13</v>
      </c>
      <c r="Q7" s="6" t="s">
        <v>10</v>
      </c>
      <c r="R7" s="67"/>
      <c r="S7" s="66"/>
      <c r="T7" s="6" t="s">
        <v>16</v>
      </c>
      <c r="U7" s="6" t="s">
        <v>13</v>
      </c>
      <c r="V7" s="6" t="s">
        <v>10</v>
      </c>
      <c r="W7" s="67"/>
    </row>
    <row r="8" spans="1:23" s="10" customFormat="1" ht="25.5" customHeight="1" x14ac:dyDescent="0.25">
      <c r="A8" s="8"/>
      <c r="B8" s="8" t="s">
        <v>0</v>
      </c>
      <c r="C8" s="8"/>
      <c r="D8" s="8">
        <v>1</v>
      </c>
      <c r="E8" s="8">
        <v>2</v>
      </c>
      <c r="F8" s="8">
        <v>3</v>
      </c>
      <c r="G8" s="8">
        <v>4</v>
      </c>
      <c r="H8" s="46">
        <v>5</v>
      </c>
      <c r="I8" s="8">
        <v>6</v>
      </c>
      <c r="J8" s="8">
        <v>7</v>
      </c>
      <c r="K8" s="8">
        <v>8</v>
      </c>
      <c r="L8" s="8" t="s">
        <v>18</v>
      </c>
      <c r="M8" s="46">
        <v>10</v>
      </c>
      <c r="N8" s="8">
        <v>11</v>
      </c>
      <c r="O8" s="9">
        <v>12</v>
      </c>
      <c r="P8" s="8">
        <v>13</v>
      </c>
      <c r="Q8" s="8" t="s">
        <v>19</v>
      </c>
      <c r="R8" s="46">
        <v>15</v>
      </c>
      <c r="S8" s="8">
        <v>16</v>
      </c>
      <c r="T8" s="9">
        <v>17</v>
      </c>
      <c r="U8" s="8">
        <v>18</v>
      </c>
      <c r="V8" s="8" t="s">
        <v>20</v>
      </c>
      <c r="W8" s="46">
        <v>20</v>
      </c>
    </row>
    <row r="9" spans="1:23" s="10" customFormat="1" ht="51" customHeight="1" x14ac:dyDescent="0.25">
      <c r="A9" s="8"/>
      <c r="B9" s="11" t="s">
        <v>7</v>
      </c>
      <c r="C9" s="8"/>
      <c r="D9" s="12">
        <f>SUM(D10,D14)</f>
        <v>50213</v>
      </c>
      <c r="E9" s="12">
        <f>SUM(E10,E14)</f>
        <v>133679</v>
      </c>
      <c r="F9" s="12">
        <f>SUM(F10,F14)</f>
        <v>9814.9787801999992</v>
      </c>
      <c r="G9" s="12">
        <f t="shared" ref="G9:N9" si="0">SUM(G10,G14)</f>
        <v>15218.62518164</v>
      </c>
      <c r="H9" s="47">
        <f t="shared" si="0"/>
        <v>174077.02121979999</v>
      </c>
      <c r="I9" s="12">
        <f t="shared" si="0"/>
        <v>427004</v>
      </c>
      <c r="J9" s="12">
        <f t="shared" si="0"/>
        <v>9814.9599999999991</v>
      </c>
      <c r="K9" s="12">
        <f t="shared" si="0"/>
        <v>33256.167451740002</v>
      </c>
      <c r="L9" s="12">
        <f t="shared" si="0"/>
        <v>43071.127451740002</v>
      </c>
      <c r="M9" s="47">
        <f t="shared" si="0"/>
        <v>591266.06121980003</v>
      </c>
      <c r="N9" s="12">
        <f t="shared" si="0"/>
        <v>760000</v>
      </c>
      <c r="O9" s="12">
        <f t="shared" ref="O9:W9" si="1">SUM(O10,O14)</f>
        <v>9814.9599999999991</v>
      </c>
      <c r="P9" s="12">
        <f t="shared" si="1"/>
        <v>34227.492975939997</v>
      </c>
      <c r="Q9" s="12">
        <f t="shared" si="1"/>
        <v>44042.452975939996</v>
      </c>
      <c r="R9" s="47">
        <f t="shared" si="1"/>
        <v>1341451.1012198001</v>
      </c>
      <c r="S9" s="12">
        <f t="shared" si="1"/>
        <v>870000</v>
      </c>
      <c r="T9" s="12">
        <f t="shared" si="1"/>
        <v>9814.9599999999991</v>
      </c>
      <c r="U9" s="12">
        <f t="shared" si="1"/>
        <v>35784.930793539999</v>
      </c>
      <c r="V9" s="12">
        <f t="shared" si="1"/>
        <v>45599.890793539991</v>
      </c>
      <c r="W9" s="47">
        <f t="shared" si="1"/>
        <v>2201636.1412197999</v>
      </c>
    </row>
    <row r="10" spans="1:23" s="10" customFormat="1" ht="33.75" customHeight="1" x14ac:dyDescent="0.25">
      <c r="A10" s="6" t="s">
        <v>3</v>
      </c>
      <c r="B10" s="13" t="s">
        <v>28</v>
      </c>
      <c r="C10" s="6"/>
      <c r="D10" s="14">
        <f>SUM(D11:D13)</f>
        <v>50213</v>
      </c>
      <c r="E10" s="14">
        <f>SUM(E11:E13)</f>
        <v>133679</v>
      </c>
      <c r="F10" s="14">
        <f t="shared" ref="F10:W10" si="2">SUM(F11:F13)</f>
        <v>9814.9787801999992</v>
      </c>
      <c r="G10" s="14">
        <f t="shared" si="2"/>
        <v>15218.62518164</v>
      </c>
      <c r="H10" s="48">
        <f t="shared" si="2"/>
        <v>174077.02121979999</v>
      </c>
      <c r="I10" s="14">
        <f t="shared" si="2"/>
        <v>218559</v>
      </c>
      <c r="J10" s="14">
        <f t="shared" si="2"/>
        <v>9814.9599999999991</v>
      </c>
      <c r="K10" s="14">
        <f t="shared" si="2"/>
        <v>15592.80681514</v>
      </c>
      <c r="L10" s="14">
        <f t="shared" si="2"/>
        <v>25407.766815139999</v>
      </c>
      <c r="M10" s="48">
        <f t="shared" si="2"/>
        <v>382821.06121980003</v>
      </c>
      <c r="N10" s="15">
        <f t="shared" si="2"/>
        <v>0</v>
      </c>
      <c r="O10" s="14">
        <f t="shared" si="2"/>
        <v>9814.9599999999991</v>
      </c>
      <c r="P10" s="14">
        <f t="shared" si="2"/>
        <v>15395.244761940001</v>
      </c>
      <c r="Q10" s="14">
        <f t="shared" si="2"/>
        <v>25210.204761939996</v>
      </c>
      <c r="R10" s="48">
        <f t="shared" si="2"/>
        <v>373006.10121980001</v>
      </c>
      <c r="S10" s="16">
        <f t="shared" si="2"/>
        <v>0</v>
      </c>
      <c r="T10" s="14">
        <f t="shared" si="2"/>
        <v>9814.9599999999991</v>
      </c>
      <c r="U10" s="14">
        <f t="shared" si="2"/>
        <v>15197.682708740002</v>
      </c>
      <c r="V10" s="14">
        <f t="shared" si="2"/>
        <v>25012.642708739997</v>
      </c>
      <c r="W10" s="48">
        <f t="shared" si="2"/>
        <v>363191.14121979999</v>
      </c>
    </row>
    <row r="11" spans="1:23" s="25" customFormat="1" ht="33.75" customHeight="1" x14ac:dyDescent="0.25">
      <c r="A11" s="17">
        <v>1</v>
      </c>
      <c r="B11" s="18" t="s">
        <v>6</v>
      </c>
      <c r="C11" s="19" t="s">
        <v>5</v>
      </c>
      <c r="D11" s="20">
        <v>741</v>
      </c>
      <c r="E11" s="21">
        <v>2426</v>
      </c>
      <c r="F11" s="21">
        <f>(21481.02*23510)/1000000</f>
        <v>505.01878019999998</v>
      </c>
      <c r="G11" s="21">
        <f>((3934.12+786.82+2360.47)*23510)/1000000</f>
        <v>166.48394909999999</v>
      </c>
      <c r="H11" s="49">
        <f>D11+E11-F11</f>
        <v>2661.9812198</v>
      </c>
      <c r="I11" s="21">
        <v>2300</v>
      </c>
      <c r="J11" s="21">
        <v>505</v>
      </c>
      <c r="K11" s="21">
        <f>((3665.61+733.12+2199.36+1452.55)*23510)/1000000</f>
        <v>189.2705464</v>
      </c>
      <c r="L11" s="21">
        <f>J11+K11</f>
        <v>694.27054640000006</v>
      </c>
      <c r="M11" s="49">
        <f>H11+I11-J11</f>
        <v>4456.9812198</v>
      </c>
      <c r="N11" s="21"/>
      <c r="O11" s="21">
        <v>505</v>
      </c>
      <c r="P11" s="21">
        <f>((3397.09+679.42+2038.26+1452.55)*23510)/1000000</f>
        <v>177.90769320000001</v>
      </c>
      <c r="Q11" s="22">
        <f>O11+P11</f>
        <v>682.90769320000004</v>
      </c>
      <c r="R11" s="55">
        <f>M11+N11-O11</f>
        <v>3951.9812198</v>
      </c>
      <c r="S11" s="24"/>
      <c r="T11" s="21">
        <v>505</v>
      </c>
      <c r="U11" s="21">
        <f>((3128.58+625.72+1877.15+1452.55)*23510)/1000000</f>
        <v>166.54484000000002</v>
      </c>
      <c r="V11" s="22">
        <f>T11+U11</f>
        <v>671.54484000000002</v>
      </c>
      <c r="W11" s="60">
        <f>R11+S11-T11</f>
        <v>3446.9812198</v>
      </c>
    </row>
    <row r="12" spans="1:23" s="25" customFormat="1" ht="42" customHeight="1" x14ac:dyDescent="0.25">
      <c r="A12" s="17">
        <v>2</v>
      </c>
      <c r="B12" s="18" t="s">
        <v>39</v>
      </c>
      <c r="C12" s="19" t="s">
        <v>5</v>
      </c>
      <c r="D12" s="20">
        <v>34845</v>
      </c>
      <c r="E12" s="21">
        <v>112822</v>
      </c>
      <c r="F12" s="21">
        <f>396000*23510/1000000</f>
        <v>9309.9599999999991</v>
      </c>
      <c r="G12" s="21">
        <f>(70050+42030+472500+22246.75)*23510/1000000</f>
        <v>14266.496892499999</v>
      </c>
      <c r="H12" s="49">
        <f>D12+E12-F12</f>
        <v>138357.04</v>
      </c>
      <c r="I12" s="21">
        <v>216259</v>
      </c>
      <c r="J12" s="21">
        <f>396000*23510/1000000</f>
        <v>9309.9599999999991</v>
      </c>
      <c r="K12" s="21">
        <f>(65100+39060+22866.62+472500+22246.75)*23510/1000000</f>
        <v>14617.891928700001</v>
      </c>
      <c r="L12" s="21">
        <f>J12+K12</f>
        <v>23927.851928700002</v>
      </c>
      <c r="M12" s="49">
        <f>H12+I12-J12</f>
        <v>345306.08</v>
      </c>
      <c r="N12" s="21"/>
      <c r="O12" s="21">
        <f>396000*23510/1000000</f>
        <v>9309.9599999999991</v>
      </c>
      <c r="P12" s="21">
        <f>(60150+36090+22866.62+472500+22246.75)*23510/1000000</f>
        <v>14431.6927287</v>
      </c>
      <c r="Q12" s="22">
        <f>O12+P12</f>
        <v>23741.652728699999</v>
      </c>
      <c r="R12" s="55">
        <f>M12+N12-O12</f>
        <v>335996.12</v>
      </c>
      <c r="S12" s="24"/>
      <c r="T12" s="21">
        <f>396000*23510/1000000</f>
        <v>9309.9599999999991</v>
      </c>
      <c r="U12" s="21">
        <f>(55200+33120+22866.62+472500+22246.75)*23510/1000000</f>
        <v>14245.493528700001</v>
      </c>
      <c r="V12" s="22">
        <f>T12+U12</f>
        <v>23555.4535287</v>
      </c>
      <c r="W12" s="60">
        <f>R12+S12-T12</f>
        <v>326686.15999999997</v>
      </c>
    </row>
    <row r="13" spans="1:23" s="25" customFormat="1" ht="42" customHeight="1" x14ac:dyDescent="0.25">
      <c r="A13" s="17">
        <v>3</v>
      </c>
      <c r="B13" s="26" t="s">
        <v>37</v>
      </c>
      <c r="C13" s="27" t="s">
        <v>38</v>
      </c>
      <c r="D13" s="20">
        <v>14627</v>
      </c>
      <c r="E13" s="20">
        <v>18431</v>
      </c>
      <c r="F13" s="20"/>
      <c r="G13" s="20">
        <f>32260.68*24353/1000000</f>
        <v>785.64434003999997</v>
      </c>
      <c r="H13" s="49">
        <f>D13+E13-F13</f>
        <v>33058</v>
      </c>
      <c r="I13" s="20"/>
      <c r="J13" s="20"/>
      <c r="K13" s="20">
        <f>32260.68*24353/1000000</f>
        <v>785.64434003999997</v>
      </c>
      <c r="L13" s="21">
        <f>J13+K13</f>
        <v>785.64434003999997</v>
      </c>
      <c r="M13" s="55">
        <f>H13+I13-J13</f>
        <v>33058</v>
      </c>
      <c r="N13" s="20"/>
      <c r="O13" s="20"/>
      <c r="P13" s="20">
        <f>32260.68*24353/1000000</f>
        <v>785.64434003999997</v>
      </c>
      <c r="Q13" s="22">
        <f>O13+P13</f>
        <v>785.64434003999997</v>
      </c>
      <c r="R13" s="55">
        <f>M13+N13-O13</f>
        <v>33058</v>
      </c>
      <c r="S13" s="24"/>
      <c r="T13" s="20"/>
      <c r="U13" s="20">
        <f>32260.68*24353/1000000</f>
        <v>785.64434003999997</v>
      </c>
      <c r="V13" s="22">
        <f>T13+U13</f>
        <v>785.64434003999997</v>
      </c>
      <c r="W13" s="60">
        <f>R13+S13-T13</f>
        <v>33058</v>
      </c>
    </row>
    <row r="14" spans="1:23" s="10" customFormat="1" ht="33.75" customHeight="1" x14ac:dyDescent="0.25">
      <c r="A14" s="6" t="s">
        <v>4</v>
      </c>
      <c r="B14" s="13" t="s">
        <v>29</v>
      </c>
      <c r="C14" s="6"/>
      <c r="D14" s="20"/>
      <c r="E14" s="28">
        <f>SUM(E15,E17)</f>
        <v>0</v>
      </c>
      <c r="F14" s="28">
        <f t="shared" ref="F14:W14" si="3">SUM(F15,F17)</f>
        <v>0</v>
      </c>
      <c r="G14" s="28">
        <f t="shared" si="3"/>
        <v>0</v>
      </c>
      <c r="H14" s="50">
        <f t="shared" si="3"/>
        <v>0</v>
      </c>
      <c r="I14" s="16">
        <f t="shared" si="3"/>
        <v>208445</v>
      </c>
      <c r="J14" s="16">
        <f t="shared" si="3"/>
        <v>0</v>
      </c>
      <c r="K14" s="16">
        <f t="shared" si="3"/>
        <v>17663.360636600002</v>
      </c>
      <c r="L14" s="16">
        <f t="shared" si="3"/>
        <v>17663.360636600002</v>
      </c>
      <c r="M14" s="56">
        <f t="shared" si="3"/>
        <v>208445</v>
      </c>
      <c r="N14" s="16">
        <f t="shared" si="3"/>
        <v>760000</v>
      </c>
      <c r="O14" s="16">
        <f t="shared" si="3"/>
        <v>0</v>
      </c>
      <c r="P14" s="16">
        <f t="shared" si="3"/>
        <v>18832.248213999999</v>
      </c>
      <c r="Q14" s="16">
        <f t="shared" si="3"/>
        <v>18832.248213999999</v>
      </c>
      <c r="R14" s="56">
        <f t="shared" si="3"/>
        <v>968445</v>
      </c>
      <c r="S14" s="16">
        <f t="shared" si="3"/>
        <v>870000</v>
      </c>
      <c r="T14" s="16">
        <f t="shared" si="3"/>
        <v>0</v>
      </c>
      <c r="U14" s="16">
        <f t="shared" si="3"/>
        <v>20587.248084799998</v>
      </c>
      <c r="V14" s="16">
        <f t="shared" si="3"/>
        <v>20587.248084799998</v>
      </c>
      <c r="W14" s="56">
        <f t="shared" si="3"/>
        <v>1838445</v>
      </c>
    </row>
    <row r="15" spans="1:23" s="32" customFormat="1" ht="34.5" customHeight="1" x14ac:dyDescent="0.25">
      <c r="A15" s="29" t="s">
        <v>35</v>
      </c>
      <c r="B15" s="30" t="s">
        <v>30</v>
      </c>
      <c r="C15" s="29"/>
      <c r="D15" s="20"/>
      <c r="E15" s="15">
        <f>E16</f>
        <v>0</v>
      </c>
      <c r="F15" s="15">
        <f t="shared" ref="F15:W15" si="4">F16</f>
        <v>0</v>
      </c>
      <c r="G15" s="15">
        <f t="shared" si="4"/>
        <v>0</v>
      </c>
      <c r="H15" s="51">
        <f t="shared" si="4"/>
        <v>0</v>
      </c>
      <c r="I15" s="31">
        <f t="shared" si="4"/>
        <v>208445</v>
      </c>
      <c r="J15" s="31">
        <f t="shared" si="4"/>
        <v>0</v>
      </c>
      <c r="K15" s="31">
        <f t="shared" si="4"/>
        <v>7979.6600506999994</v>
      </c>
      <c r="L15" s="31">
        <f t="shared" si="4"/>
        <v>7979.6600506999994</v>
      </c>
      <c r="M15" s="57">
        <f t="shared" si="4"/>
        <v>208445</v>
      </c>
      <c r="N15" s="31">
        <f t="shared" si="4"/>
        <v>700000</v>
      </c>
      <c r="O15" s="31">
        <f t="shared" si="4"/>
        <v>0</v>
      </c>
      <c r="P15" s="31">
        <f t="shared" si="4"/>
        <v>9208.5474990999992</v>
      </c>
      <c r="Q15" s="31">
        <f t="shared" si="4"/>
        <v>9208.5474990999992</v>
      </c>
      <c r="R15" s="57">
        <f t="shared" si="4"/>
        <v>908445</v>
      </c>
      <c r="S15" s="31">
        <f t="shared" si="4"/>
        <v>800000</v>
      </c>
      <c r="T15" s="31">
        <f t="shared" si="4"/>
        <v>0</v>
      </c>
      <c r="U15" s="31">
        <f t="shared" si="4"/>
        <v>9458.5474317999997</v>
      </c>
      <c r="V15" s="31">
        <f t="shared" si="4"/>
        <v>9458.5474317999997</v>
      </c>
      <c r="W15" s="57">
        <f t="shared" si="4"/>
        <v>1708445</v>
      </c>
    </row>
    <row r="16" spans="1:23" s="37" customFormat="1" ht="54.75" customHeight="1" x14ac:dyDescent="0.25">
      <c r="A16" s="17">
        <v>1</v>
      </c>
      <c r="B16" s="33" t="s">
        <v>23</v>
      </c>
      <c r="C16" s="17" t="s">
        <v>34</v>
      </c>
      <c r="D16" s="20"/>
      <c r="E16" s="34">
        <v>0</v>
      </c>
      <c r="F16" s="34">
        <v>0</v>
      </c>
      <c r="G16" s="34">
        <v>0</v>
      </c>
      <c r="H16" s="52">
        <v>0</v>
      </c>
      <c r="I16" s="35">
        <v>208445</v>
      </c>
      <c r="J16" s="36">
        <v>0</v>
      </c>
      <c r="K16" s="35">
        <f>339415.57*23510/1000000</f>
        <v>7979.6600506999994</v>
      </c>
      <c r="L16" s="23">
        <f>J16+K16</f>
        <v>7979.6600506999994</v>
      </c>
      <c r="M16" s="55">
        <f>I16-J16</f>
        <v>208445</v>
      </c>
      <c r="N16" s="35">
        <v>700000</v>
      </c>
      <c r="O16" s="36">
        <v>0</v>
      </c>
      <c r="P16" s="35">
        <f>391686.41*23510/1000000</f>
        <v>9208.5474990999992</v>
      </c>
      <c r="Q16" s="35">
        <f>O16+P16</f>
        <v>9208.5474990999992</v>
      </c>
      <c r="R16" s="59">
        <f>M16+N16-O16</f>
        <v>908445</v>
      </c>
      <c r="S16" s="35">
        <v>800000</v>
      </c>
      <c r="T16" s="36"/>
      <c r="U16" s="35">
        <f>402320.18*23510/1000000</f>
        <v>9458.5474317999997</v>
      </c>
      <c r="V16" s="35">
        <f>T16+U16</f>
        <v>9458.5474317999997</v>
      </c>
      <c r="W16" s="61">
        <f>R16+S16-T16</f>
        <v>1708445</v>
      </c>
    </row>
    <row r="17" spans="1:23" s="32" customFormat="1" ht="63" customHeight="1" x14ac:dyDescent="0.25">
      <c r="A17" s="29" t="s">
        <v>36</v>
      </c>
      <c r="B17" s="30" t="s">
        <v>33</v>
      </c>
      <c r="C17" s="29"/>
      <c r="D17" s="20"/>
      <c r="E17" s="15">
        <f t="shared" ref="E17:W17" si="5">E18</f>
        <v>0</v>
      </c>
      <c r="F17" s="15">
        <f t="shared" si="5"/>
        <v>0</v>
      </c>
      <c r="G17" s="15">
        <f t="shared" si="5"/>
        <v>0</v>
      </c>
      <c r="H17" s="51">
        <f t="shared" si="5"/>
        <v>0</v>
      </c>
      <c r="I17" s="31">
        <f t="shared" si="5"/>
        <v>0</v>
      </c>
      <c r="J17" s="31">
        <f t="shared" si="5"/>
        <v>0</v>
      </c>
      <c r="K17" s="31">
        <f t="shared" si="5"/>
        <v>9683.7005859000019</v>
      </c>
      <c r="L17" s="31">
        <f t="shared" si="5"/>
        <v>9683.7005859000019</v>
      </c>
      <c r="M17" s="57">
        <f t="shared" si="5"/>
        <v>0</v>
      </c>
      <c r="N17" s="31">
        <f t="shared" si="5"/>
        <v>60000</v>
      </c>
      <c r="O17" s="31">
        <f t="shared" si="5"/>
        <v>0</v>
      </c>
      <c r="P17" s="31">
        <f t="shared" si="5"/>
        <v>9623.7007149000001</v>
      </c>
      <c r="Q17" s="31">
        <f t="shared" si="5"/>
        <v>9623.7007149000001</v>
      </c>
      <c r="R17" s="57">
        <f t="shared" si="5"/>
        <v>60000</v>
      </c>
      <c r="S17" s="31">
        <f t="shared" si="5"/>
        <v>70000</v>
      </c>
      <c r="T17" s="31">
        <f t="shared" si="5"/>
        <v>0</v>
      </c>
      <c r="U17" s="31">
        <f t="shared" si="5"/>
        <v>11128.700653</v>
      </c>
      <c r="V17" s="31">
        <f t="shared" si="5"/>
        <v>11128.700653</v>
      </c>
      <c r="W17" s="57">
        <f t="shared" si="5"/>
        <v>130000</v>
      </c>
    </row>
    <row r="18" spans="1:23" s="7" customFormat="1" ht="81.75" customHeight="1" x14ac:dyDescent="0.25">
      <c r="A18" s="8">
        <v>1</v>
      </c>
      <c r="B18" s="38" t="s">
        <v>31</v>
      </c>
      <c r="C18" s="8" t="s">
        <v>32</v>
      </c>
      <c r="D18" s="20"/>
      <c r="E18" s="39"/>
      <c r="F18" s="39"/>
      <c r="G18" s="39"/>
      <c r="H18" s="53"/>
      <c r="I18" s="40"/>
      <c r="J18" s="40"/>
      <c r="K18" s="41">
        <f>411897.09*23510/1000000</f>
        <v>9683.7005859000019</v>
      </c>
      <c r="L18" s="41">
        <f>J18+K18</f>
        <v>9683.7005859000019</v>
      </c>
      <c r="M18" s="58"/>
      <c r="N18" s="41">
        <f>600000*10%</f>
        <v>60000</v>
      </c>
      <c r="O18" s="40"/>
      <c r="P18" s="41">
        <f>409344.99*23510/1000000</f>
        <v>9623.7007149000001</v>
      </c>
      <c r="Q18" s="41">
        <f>O18+P18</f>
        <v>9623.7007149000001</v>
      </c>
      <c r="R18" s="58">
        <f>M18+N18-O18</f>
        <v>60000</v>
      </c>
      <c r="S18" s="41">
        <v>70000</v>
      </c>
      <c r="T18" s="40"/>
      <c r="U18" s="41">
        <f>473360.3*23510/1000000</f>
        <v>11128.700653</v>
      </c>
      <c r="V18" s="41">
        <f>T18+U18</f>
        <v>11128.700653</v>
      </c>
      <c r="W18" s="61">
        <f>R18+S18-T18</f>
        <v>130000</v>
      </c>
    </row>
    <row r="19" spans="1:23" s="43" customFormat="1" x14ac:dyDescent="0.25">
      <c r="A19" s="42"/>
      <c r="B19" s="42"/>
      <c r="C19" s="42"/>
      <c r="D19" s="42"/>
      <c r="E19" s="42"/>
      <c r="F19" s="42"/>
      <c r="G19" s="42"/>
      <c r="H19" s="54"/>
      <c r="I19" s="42"/>
      <c r="J19" s="42"/>
      <c r="K19" s="42"/>
      <c r="L19" s="42"/>
      <c r="M19" s="54"/>
      <c r="N19" s="42"/>
      <c r="O19" s="42"/>
      <c r="P19" s="42"/>
      <c r="Q19" s="42"/>
      <c r="R19" s="54"/>
      <c r="S19" s="42"/>
      <c r="T19" s="42"/>
      <c r="U19" s="42"/>
      <c r="V19" s="42"/>
      <c r="W19" s="54"/>
    </row>
    <row r="20" spans="1:23" x14ac:dyDescent="0.25">
      <c r="B20" s="42" t="s">
        <v>41</v>
      </c>
    </row>
    <row r="21" spans="1:23" x14ac:dyDescent="0.25">
      <c r="B21" s="42" t="s">
        <v>40</v>
      </c>
      <c r="I21" s="44"/>
    </row>
  </sheetData>
  <mergeCells count="24">
    <mergeCell ref="S5:W5"/>
    <mergeCell ref="G6:G7"/>
    <mergeCell ref="N6:N7"/>
    <mergeCell ref="I6:I7"/>
    <mergeCell ref="A2:W2"/>
    <mergeCell ref="S6:S7"/>
    <mergeCell ref="T6:V6"/>
    <mergeCell ref="W6:W7"/>
    <mergeCell ref="M6:M7"/>
    <mergeCell ref="R6:R7"/>
    <mergeCell ref="E6:E7"/>
    <mergeCell ref="J6:L6"/>
    <mergeCell ref="H6:H7"/>
    <mergeCell ref="O6:Q6"/>
    <mergeCell ref="A3:W3"/>
    <mergeCell ref="I5:M5"/>
    <mergeCell ref="C5:C7"/>
    <mergeCell ref="A4:W4"/>
    <mergeCell ref="A5:A7"/>
    <mergeCell ref="N5:R5"/>
    <mergeCell ref="B5:B7"/>
    <mergeCell ref="F6:F7"/>
    <mergeCell ref="D5:D7"/>
    <mergeCell ref="E5:H5"/>
  </mergeCells>
  <printOptions horizontalCentered="1"/>
  <pageMargins left="0.143700787" right="0.143700787" top="0.39370078740157499" bottom="0.39370078740157499" header="0.196850393700787" footer="0.196850393700787"/>
  <pageSetup paperSize="9" scale="45" fitToHeight="0" orientation="landscape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2.04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hanhchinh4 - Tran Anh Huy</cp:lastModifiedBy>
  <cp:lastPrinted>2022-07-28T07:28:42Z</cp:lastPrinted>
  <dcterms:created xsi:type="dcterms:W3CDTF">2020-05-21T02:18:06Z</dcterms:created>
  <dcterms:modified xsi:type="dcterms:W3CDTF">2022-08-03T01:16:01Z</dcterms:modified>
</cp:coreProperties>
</file>

<file path=package/services/digital-signature/_rels/origin.psdsor.rels>&#65279;<?xml version="1.0" encoding="utf-8"?><Relationships xmlns="http://schemas.openxmlformats.org/package/2006/relationships"><Relationship Type="http://schemas.openxmlformats.org/package/2006/relationships/digital-signature/signature" Target="/package/services/digital-signature/xml-signature/1a1423d0485e4b15b460988d75343689.psdsxs" Id="Re5e6983df62446ad" /></Relationships>
</file>